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ss\Desktop\для сесії\"/>
    </mc:Choice>
  </mc:AlternateContent>
  <bookViews>
    <workbookView xWindow="0" yWindow="0" windowWidth="20490" windowHeight="7650"/>
  </bookViews>
  <sheets>
    <sheet name="на 01.01.21" sheetId="1" r:id="rId1"/>
  </sheets>
  <definedNames>
    <definedName name="_xlnm.Print_Area" localSheetId="0">'на 01.01.21'!$A$1:$AD$47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1" l="1"/>
  <c r="Y30" i="1" l="1"/>
  <c r="F30" i="1"/>
  <c r="Y29" i="1"/>
  <c r="R29" i="1"/>
  <c r="F29" i="1"/>
  <c r="Y28" i="1"/>
  <c r="T28" i="1"/>
  <c r="S28" i="1"/>
  <c r="R28" i="1"/>
  <c r="F28" i="1"/>
  <c r="Y27" i="1"/>
  <c r="S27" i="1"/>
  <c r="R27" i="1"/>
  <c r="F27" i="1"/>
  <c r="S29" i="1"/>
  <c r="T29" i="1"/>
  <c r="AB45" i="1" l="1"/>
  <c r="W45" i="1"/>
  <c r="V45" i="1"/>
  <c r="U45" i="1"/>
  <c r="T45" i="1"/>
  <c r="S45" i="1"/>
  <c r="R45" i="1"/>
  <c r="Q45" i="1"/>
  <c r="O45" i="1"/>
  <c r="N45" i="1"/>
  <c r="M45" i="1"/>
  <c r="L45" i="1"/>
  <c r="K45" i="1"/>
  <c r="J45" i="1"/>
  <c r="G45" i="1"/>
  <c r="E45" i="1"/>
  <c r="D45" i="1"/>
  <c r="F44" i="1"/>
  <c r="F43" i="1"/>
  <c r="Z43" i="1" s="1"/>
  <c r="F42" i="1"/>
  <c r="X42" i="1" s="1"/>
  <c r="F41" i="1"/>
  <c r="Z41" i="1" s="1"/>
  <c r="F40" i="1"/>
  <c r="F39" i="1"/>
  <c r="Z39" i="1" s="1"/>
  <c r="F38" i="1"/>
  <c r="Z38" i="1" s="1"/>
  <c r="F37" i="1"/>
  <c r="F36" i="1"/>
  <c r="Z36" i="1" s="1"/>
  <c r="F35" i="1"/>
  <c r="H35" i="1" s="1"/>
  <c r="Y34" i="1"/>
  <c r="F34" i="1"/>
  <c r="X34" i="1" s="1"/>
  <c r="F33" i="1"/>
  <c r="Y33" i="1" s="1"/>
  <c r="Y45" i="1" s="1"/>
  <c r="F32" i="1"/>
  <c r="H32" i="1" s="1"/>
  <c r="Z31" i="1"/>
  <c r="X31" i="1"/>
  <c r="V31" i="1"/>
  <c r="V46" i="1" s="1"/>
  <c r="U31" i="1"/>
  <c r="U46" i="1" s="1"/>
  <c r="Q31" i="1"/>
  <c r="Q46" i="1" s="1"/>
  <c r="P31" i="1"/>
  <c r="O31" i="1"/>
  <c r="O46" i="1" s="1"/>
  <c r="N31" i="1"/>
  <c r="M31" i="1"/>
  <c r="M46" i="1" s="1"/>
  <c r="L31" i="1"/>
  <c r="L46" i="1" s="1"/>
  <c r="K31" i="1"/>
  <c r="K46" i="1" s="1"/>
  <c r="J31" i="1"/>
  <c r="I31" i="1"/>
  <c r="C31" i="1"/>
  <c r="G30" i="1"/>
  <c r="AA30" i="1" s="1"/>
  <c r="AD30" i="1" s="1"/>
  <c r="D30" i="1"/>
  <c r="E30" i="1" s="1"/>
  <c r="G29" i="1"/>
  <c r="D29" i="1"/>
  <c r="E29" i="1" s="1"/>
  <c r="T31" i="1"/>
  <c r="T46" i="1" s="1"/>
  <c r="S31" i="1"/>
  <c r="S46" i="1" s="1"/>
  <c r="G28" i="1"/>
  <c r="D28" i="1"/>
  <c r="E28" i="1" s="1"/>
  <c r="R31" i="1"/>
  <c r="R46" i="1" s="1"/>
  <c r="E26" i="1"/>
  <c r="F26" i="1" s="1"/>
  <c r="G26" i="1" s="1"/>
  <c r="E25" i="1"/>
  <c r="F25" i="1" s="1"/>
  <c r="G25" i="1" s="1"/>
  <c r="E24" i="1"/>
  <c r="F24" i="1" s="1"/>
  <c r="G24" i="1" s="1"/>
  <c r="E23" i="1"/>
  <c r="F23" i="1" s="1"/>
  <c r="G23" i="1" s="1"/>
  <c r="D21" i="1"/>
  <c r="E20" i="1"/>
  <c r="F20" i="1" s="1"/>
  <c r="J46" i="1" l="1"/>
  <c r="N46" i="1"/>
  <c r="I46" i="1"/>
  <c r="I33" i="1"/>
  <c r="I45" i="1" s="1"/>
  <c r="AA35" i="1"/>
  <c r="AD35" i="1" s="1"/>
  <c r="Z37" i="1"/>
  <c r="AA37" i="1" s="1"/>
  <c r="AD37" i="1" s="1"/>
  <c r="Z32" i="1"/>
  <c r="Z42" i="1"/>
  <c r="AA42" i="1" s="1"/>
  <c r="AD42" i="1" s="1"/>
  <c r="Y20" i="1"/>
  <c r="H20" i="1"/>
  <c r="W20" i="1"/>
  <c r="W31" i="1" s="1"/>
  <c r="W46" i="1" s="1"/>
  <c r="G20" i="1"/>
  <c r="G27" i="1"/>
  <c r="AA27" i="1" s="1"/>
  <c r="AD27" i="1" s="1"/>
  <c r="H44" i="1"/>
  <c r="C45" i="1"/>
  <c r="C46" i="1" s="1"/>
  <c r="E21" i="1"/>
  <c r="F21" i="1" s="1"/>
  <c r="Y23" i="1"/>
  <c r="AA23" i="1" s="1"/>
  <c r="AD23" i="1" s="1"/>
  <c r="Y24" i="1"/>
  <c r="AA24" i="1" s="1"/>
  <c r="AD24" i="1" s="1"/>
  <c r="Y25" i="1"/>
  <c r="AA25" i="1" s="1"/>
  <c r="AD25" i="1" s="1"/>
  <c r="Y26" i="1"/>
  <c r="AA26" i="1" s="1"/>
  <c r="AD26" i="1" s="1"/>
  <c r="D27" i="1"/>
  <c r="E27" i="1" s="1"/>
  <c r="F45" i="1"/>
  <c r="H34" i="1"/>
  <c r="AA34" i="1" s="1"/>
  <c r="AD34" i="1" s="1"/>
  <c r="AA36" i="1"/>
  <c r="AD36" i="1" s="1"/>
  <c r="X38" i="1"/>
  <c r="X45" i="1" s="1"/>
  <c r="X46" i="1" s="1"/>
  <c r="AA39" i="1"/>
  <c r="AD39" i="1" s="1"/>
  <c r="H40" i="1"/>
  <c r="Z40" i="1" s="1"/>
  <c r="AA41" i="1"/>
  <c r="AD41" i="1" s="1"/>
  <c r="AA43" i="1"/>
  <c r="AD43" i="1" s="1"/>
  <c r="AA44" i="1"/>
  <c r="AD44" i="1" s="1"/>
  <c r="AA28" i="1"/>
  <c r="AD28" i="1" s="1"/>
  <c r="AA29" i="1"/>
  <c r="AD29" i="1" s="1"/>
  <c r="P33" i="1"/>
  <c r="P45" i="1" s="1"/>
  <c r="P46" i="1" s="1"/>
  <c r="E31" i="1" l="1"/>
  <c r="E46" i="1" s="1"/>
  <c r="Z45" i="1"/>
  <c r="Z46" i="1" s="1"/>
  <c r="AA33" i="1"/>
  <c r="AD33" i="1" s="1"/>
  <c r="H45" i="1"/>
  <c r="AB31" i="1"/>
  <c r="AB46" i="1" s="1"/>
  <c r="Y21" i="1"/>
  <c r="G21" i="1"/>
  <c r="Y22" i="1"/>
  <c r="AC31" i="1"/>
  <c r="H21" i="1"/>
  <c r="H31" i="1" s="1"/>
  <c r="AC45" i="1"/>
  <c r="AA40" i="1"/>
  <c r="AD40" i="1" s="1"/>
  <c r="AA38" i="1"/>
  <c r="AD38" i="1" s="1"/>
  <c r="AA32" i="1"/>
  <c r="AD32" i="1" s="1"/>
  <c r="D31" i="1"/>
  <c r="D46" i="1" s="1"/>
  <c r="AA20" i="1"/>
  <c r="AD20" i="1" s="1"/>
  <c r="F9" i="1"/>
  <c r="Y9" i="1"/>
  <c r="F31" i="1"/>
  <c r="F46" i="1" s="1"/>
  <c r="Y31" i="1" l="1"/>
  <c r="Y46" i="1" s="1"/>
  <c r="AC46" i="1"/>
  <c r="V8" i="1"/>
  <c r="AA21" i="1"/>
  <c r="AD21" i="1" s="1"/>
  <c r="AD31" i="1" s="1"/>
  <c r="H46" i="1"/>
  <c r="AA9" i="1"/>
  <c r="G31" i="1"/>
  <c r="G46" i="1" s="1"/>
  <c r="AA45" i="1"/>
  <c r="AD45" i="1"/>
  <c r="AA31" i="1" l="1"/>
  <c r="AE31" i="1" s="1"/>
  <c r="AD46" i="1"/>
  <c r="AA46" i="1" l="1"/>
  <c r="AE46" i="1" l="1"/>
</calcChain>
</file>

<file path=xl/sharedStrings.xml><?xml version="1.0" encoding="utf-8"?>
<sst xmlns="http://schemas.openxmlformats.org/spreadsheetml/2006/main" count="66" uniqueCount="66">
  <si>
    <r>
      <t xml:space="preserve">                                                                                                                     </t>
    </r>
    <r>
      <rPr>
        <b/>
        <sz val="14"/>
        <rFont val="Times New Roman"/>
        <family val="1"/>
        <charset val="204"/>
      </rPr>
      <t xml:space="preserve">               ШТАТНИЙ РОЗПИС</t>
    </r>
  </si>
  <si>
    <r>
      <t xml:space="preserve">                                                         </t>
    </r>
    <r>
      <rPr>
        <b/>
        <sz val="14"/>
        <color indexed="10"/>
        <rFont val="Times New Roman"/>
        <family val="1"/>
        <charset val="204"/>
      </rPr>
      <t/>
    </r>
  </si>
  <si>
    <t xml:space="preserve">Навчально виховного комплексу "Синяківський хіміко-технологічний ліцей - заклад загальної середньої освіти І-ІІ ступенів" </t>
  </si>
  <si>
    <t>№</t>
  </si>
  <si>
    <t>Посада</t>
  </si>
  <si>
    <t>Кількість штатних одиниць</t>
  </si>
  <si>
    <t>Посадовий оклад з підвищенням за звання</t>
  </si>
  <si>
    <t>за гімназію 10%</t>
  </si>
  <si>
    <t>Оклад за кількістю штатних одиниць з підвищеннями</t>
  </si>
  <si>
    <t>Надбавки</t>
  </si>
  <si>
    <t>Індивідуальні  години</t>
  </si>
  <si>
    <t>Доплата</t>
  </si>
  <si>
    <t>Вислуга</t>
  </si>
  <si>
    <t>Доплата до МЗП</t>
  </si>
  <si>
    <t>Щоріч-на грошова виногорода</t>
  </si>
  <si>
    <t>Допомога на оздоровлення</t>
  </si>
  <si>
    <t>педпрацівникам за престижність ПКМУ від 23.03.11 №373 (в межах фонду) 5-30%</t>
  </si>
  <si>
    <t>Згідно рішення сесії та за складність та напруж. до 30%</t>
  </si>
  <si>
    <t>50% бібліотекарям згідно Постанови КМУ №1073 від 30.09.09</t>
  </si>
  <si>
    <t>Кількість штатних одиниць інд.навч.</t>
  </si>
  <si>
    <t>посадовий оклад інд.навч.</t>
  </si>
  <si>
    <t>дод.год. інд.навч.</t>
  </si>
  <si>
    <t>вислуга інд.навч.</t>
  </si>
  <si>
    <t>20% згідно Постанови № 1130 від 05.10.09</t>
  </si>
  <si>
    <t>зошити інд.навч.</t>
  </si>
  <si>
    <t>за завідув. бібліотекою (книжк. Фонд)</t>
  </si>
  <si>
    <t>за роботу в інклюзивних класах</t>
  </si>
  <si>
    <t>перев. зошитів</t>
  </si>
  <si>
    <t>класне  керівництво</t>
  </si>
  <si>
    <t>за завідування кабінетом</t>
  </si>
  <si>
    <t>МО</t>
  </si>
  <si>
    <t>ММК</t>
  </si>
  <si>
    <t>Керівництво школою, групами ГПД</t>
  </si>
  <si>
    <t>шкідливі та неспр. ум.пр. нічні</t>
  </si>
  <si>
    <t>Директор</t>
  </si>
  <si>
    <t>Заступник дир. з н-в роботи</t>
  </si>
  <si>
    <t>Практичний психолог</t>
  </si>
  <si>
    <t>Соціальний педагог</t>
  </si>
  <si>
    <t>Педагог-організатор</t>
  </si>
  <si>
    <t>Керівник гуртка</t>
  </si>
  <si>
    <t>Вчитель 1-4 класів</t>
  </si>
  <si>
    <t>Вчитель 5-9 класів</t>
  </si>
  <si>
    <t>Вчитель 10-11 класів</t>
  </si>
  <si>
    <t>Вихователь ГПД</t>
  </si>
  <si>
    <t xml:space="preserve">Всього педзарплата </t>
  </si>
  <si>
    <t>Завідуючий господарством</t>
  </si>
  <si>
    <t>Завідувач бібліотекою</t>
  </si>
  <si>
    <t>Старша сестра медична</t>
  </si>
  <si>
    <t>Бухгалтер</t>
  </si>
  <si>
    <t>Секретар-друкарка</t>
  </si>
  <si>
    <t>Робітник з комплексного обслуг. приміщень</t>
  </si>
  <si>
    <t>Сторож</t>
  </si>
  <si>
    <t>Двірник</t>
  </si>
  <si>
    <t>Водій автобуса</t>
  </si>
  <si>
    <t>Електромонтер</t>
  </si>
  <si>
    <t>Прибиральник службових приміщень</t>
  </si>
  <si>
    <t>Інженер-електронік</t>
  </si>
  <si>
    <t>Фахівець з публічних закупівель</t>
  </si>
  <si>
    <t>Всього МОП</t>
  </si>
  <si>
    <t>ВСЬОГО</t>
  </si>
  <si>
    <t>Директор школи</t>
  </si>
  <si>
    <t>Головний бухгалтер</t>
  </si>
  <si>
    <t xml:space="preserve">ФЗП в місяць на січень-червень </t>
  </si>
  <si>
    <t>ФЗП на січень-червень 2021р</t>
  </si>
  <si>
    <t>Додаток 2 до рішення Бучанської міської ради</t>
  </si>
  <si>
    <t>від "___" грудня 2020 року № _____-____-VIII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</si>
</sst>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"/>
  </numFmts>
  <fonts count="28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1"/>
      <color rgb="FFFF0000"/>
      <name val="Calibri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Calibri"/>
      <family val="2"/>
      <charset val="204"/>
    </font>
    <font>
      <sz val="11"/>
      <name val="Calibri"/>
      <family val="2"/>
      <charset val="204"/>
    </font>
    <font>
      <sz val="10"/>
      <color indexed="44"/>
      <name val="Times New Roman"/>
      <family val="1"/>
      <charset val="204"/>
    </font>
    <font>
      <sz val="12"/>
      <color indexed="4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4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4" fillId="0" borderId="0"/>
    <xf numFmtId="0" fontId="24" fillId="0" borderId="0"/>
  </cellStyleXfs>
  <cellXfs count="118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0" fillId="0" borderId="0" xfId="0" applyFill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Alignment="1"/>
    <xf numFmtId="0" fontId="6" fillId="0" borderId="0" xfId="0" applyFont="1" applyAlignment="1"/>
    <xf numFmtId="0" fontId="0" fillId="0" borderId="0" xfId="0" applyAlignment="1"/>
    <xf numFmtId="0" fontId="7" fillId="0" borderId="0" xfId="0" applyFont="1" applyAlignment="1"/>
    <xf numFmtId="0" fontId="8" fillId="0" borderId="0" xfId="0" applyFont="1" applyFill="1" applyAlignment="1"/>
    <xf numFmtId="0" fontId="9" fillId="0" borderId="0" xfId="0" applyFont="1" applyAlignment="1">
      <alignment horizontal="center"/>
    </xf>
    <xf numFmtId="4" fontId="3" fillId="0" borderId="0" xfId="0" applyNumberFormat="1" applyFont="1" applyFill="1" applyAlignment="1"/>
    <xf numFmtId="0" fontId="10" fillId="0" borderId="0" xfId="0" applyFont="1" applyAlignment="1">
      <alignment horizontal="center"/>
    </xf>
    <xf numFmtId="0" fontId="11" fillId="0" borderId="0" xfId="0" applyFont="1" applyFill="1"/>
    <xf numFmtId="0" fontId="12" fillId="0" borderId="0" xfId="0" applyFont="1"/>
    <xf numFmtId="0" fontId="9" fillId="0" borderId="0" xfId="0" applyFont="1" applyAlignment="1"/>
    <xf numFmtId="0" fontId="9" fillId="0" borderId="0" xfId="0" applyFont="1"/>
    <xf numFmtId="0" fontId="3" fillId="0" borderId="0" xfId="0" applyFont="1" applyFill="1" applyAlignment="1">
      <alignment horizontal="left"/>
    </xf>
    <xf numFmtId="0" fontId="13" fillId="0" borderId="0" xfId="0" applyFont="1" applyFill="1"/>
    <xf numFmtId="0" fontId="14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3" fillId="0" borderId="0" xfId="0" applyFont="1" applyAlignment="1">
      <alignment horizontal="left"/>
    </xf>
    <xf numFmtId="0" fontId="15" fillId="0" borderId="0" xfId="0" applyFont="1" applyFill="1" applyAlignment="1">
      <alignment horizontal="center"/>
    </xf>
    <xf numFmtId="0" fontId="15" fillId="0" borderId="0" xfId="0" applyFont="1"/>
    <xf numFmtId="0" fontId="18" fillId="0" borderId="0" xfId="0" applyFont="1"/>
    <xf numFmtId="0" fontId="3" fillId="0" borderId="0" xfId="0" applyFont="1"/>
    <xf numFmtId="0" fontId="19" fillId="0" borderId="0" xfId="0" applyFont="1"/>
    <xf numFmtId="2" fontId="18" fillId="0" borderId="0" xfId="0" applyNumberFormat="1" applyFont="1" applyFill="1"/>
    <xf numFmtId="0" fontId="18" fillId="0" borderId="0" xfId="0" applyFont="1" applyFill="1"/>
    <xf numFmtId="0" fontId="20" fillId="0" borderId="0" xfId="0" applyFont="1"/>
    <xf numFmtId="0" fontId="21" fillId="0" borderId="0" xfId="0" applyFont="1"/>
    <xf numFmtId="4" fontId="21" fillId="0" borderId="0" xfId="0" applyNumberFormat="1" applyFont="1" applyFill="1"/>
    <xf numFmtId="0" fontId="21" fillId="0" borderId="0" xfId="0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justify" vertical="top" wrapText="1"/>
    </xf>
    <xf numFmtId="2" fontId="9" fillId="0" borderId="2" xfId="1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2" fontId="9" fillId="0" borderId="3" xfId="1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>
      <alignment horizontal="justify" vertical="top" wrapText="1"/>
    </xf>
    <xf numFmtId="4" fontId="3" fillId="0" borderId="2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2" fontId="25" fillId="0" borderId="2" xfId="0" applyNumberFormat="1" applyFont="1" applyFill="1" applyBorder="1" applyAlignment="1">
      <alignment horizontal="center" vertical="center" wrapText="1"/>
    </xf>
    <xf numFmtId="165" fontId="9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top" wrapText="1"/>
    </xf>
    <xf numFmtId="4" fontId="9" fillId="0" borderId="2" xfId="0" applyNumberFormat="1" applyFont="1" applyFill="1" applyBorder="1" applyAlignment="1">
      <alignment horizontal="center" vertical="top" wrapText="1"/>
    </xf>
    <xf numFmtId="0" fontId="9" fillId="0" borderId="2" xfId="0" applyFont="1" applyFill="1" applyBorder="1"/>
    <xf numFmtId="0" fontId="23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left" vertical="center" wrapText="1"/>
    </xf>
    <xf numFmtId="2" fontId="23" fillId="0" borderId="2" xfId="1" applyNumberFormat="1" applyFont="1" applyBorder="1" applyAlignment="1">
      <alignment horizontal="center" vertical="center" wrapText="1"/>
    </xf>
    <xf numFmtId="4" fontId="23" fillId="0" borderId="2" xfId="1" applyNumberFormat="1" applyFont="1" applyBorder="1" applyAlignment="1">
      <alignment horizontal="center" vertical="center" wrapText="1"/>
    </xf>
    <xf numFmtId="0" fontId="23" fillId="0" borderId="0" xfId="0" applyFont="1"/>
    <xf numFmtId="0" fontId="8" fillId="0" borderId="2" xfId="0" applyFont="1" applyBorder="1" applyAlignment="1">
      <alignment horizontal="center"/>
    </xf>
    <xf numFmtId="0" fontId="26" fillId="0" borderId="2" xfId="0" applyFont="1" applyBorder="1" applyAlignment="1">
      <alignment horizontal="justify" vertical="top" wrapText="1"/>
    </xf>
    <xf numFmtId="2" fontId="26" fillId="0" borderId="2" xfId="0" applyNumberFormat="1" applyFont="1" applyBorder="1" applyAlignment="1">
      <alignment horizontal="center" vertical="center" wrapText="1"/>
    </xf>
    <xf numFmtId="4" fontId="26" fillId="0" borderId="2" xfId="0" applyNumberFormat="1" applyFont="1" applyBorder="1" applyAlignment="1">
      <alignment horizontal="center" vertical="center" wrapText="1"/>
    </xf>
    <xf numFmtId="4" fontId="0" fillId="0" borderId="0" xfId="0" applyNumberFormat="1"/>
    <xf numFmtId="2" fontId="27" fillId="0" borderId="0" xfId="0" applyNumberFormat="1" applyFont="1"/>
    <xf numFmtId="0" fontId="8" fillId="0" borderId="1" xfId="0" applyFont="1" applyBorder="1"/>
    <xf numFmtId="0" fontId="3" fillId="0" borderId="0" xfId="3" applyFont="1" applyAlignment="1"/>
    <xf numFmtId="0" fontId="3" fillId="0" borderId="0" xfId="3" applyFont="1" applyFill="1" applyBorder="1" applyAlignment="1"/>
    <xf numFmtId="0" fontId="3" fillId="0" borderId="1" xfId="3" applyFont="1" applyBorder="1" applyAlignment="1"/>
    <xf numFmtId="0" fontId="3" fillId="0" borderId="0" xfId="3" applyFont="1" applyBorder="1"/>
    <xf numFmtId="0" fontId="8" fillId="0" borderId="0" xfId="0" applyFont="1" applyBorder="1" applyAlignment="1">
      <alignment horizontal="center"/>
    </xf>
    <xf numFmtId="0" fontId="4" fillId="0" borderId="0" xfId="0" applyFont="1" applyBorder="1"/>
    <xf numFmtId="0" fontId="8" fillId="0" borderId="0" xfId="0" applyFont="1" applyBorder="1"/>
    <xf numFmtId="0" fontId="16" fillId="0" borderId="0" xfId="0" applyFont="1" applyFill="1" applyBorder="1" applyAlignment="1">
      <alignment horizontal="center"/>
    </xf>
    <xf numFmtId="0" fontId="13" fillId="0" borderId="0" xfId="0" applyFont="1" applyBorder="1"/>
    <xf numFmtId="0" fontId="3" fillId="0" borderId="0" xfId="0" applyFont="1" applyFill="1" applyBorder="1"/>
    <xf numFmtId="0" fontId="22" fillId="0" borderId="3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2" fontId="8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9" fontId="9" fillId="0" borderId="3" xfId="0" applyNumberFormat="1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 wrapText="1"/>
    </xf>
    <xf numFmtId="9" fontId="9" fillId="0" borderId="12" xfId="0" applyNumberFormat="1" applyFont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4" fontId="9" fillId="0" borderId="12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9" fillId="0" borderId="12" xfId="0" applyNumberFormat="1" applyFont="1" applyFill="1" applyBorder="1" applyAlignment="1">
      <alignment horizontal="center" vertical="center" wrapText="1"/>
    </xf>
    <xf numFmtId="0" fontId="22" fillId="2" borderId="3" xfId="2" applyFont="1" applyFill="1" applyBorder="1" applyAlignment="1">
      <alignment horizontal="center" vertical="center" wrapText="1"/>
    </xf>
    <xf numFmtId="0" fontId="22" fillId="2" borderId="7" xfId="2" applyFont="1" applyFill="1" applyBorder="1" applyAlignment="1">
      <alignment horizontal="center" vertical="center" wrapText="1"/>
    </xf>
    <xf numFmtId="0" fontId="22" fillId="2" borderId="12" xfId="2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1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2" fontId="9" fillId="0" borderId="3" xfId="1" applyNumberFormat="1" applyFont="1" applyFill="1" applyBorder="1" applyAlignment="1">
      <alignment horizontal="center" vertical="center" wrapText="1"/>
    </xf>
    <xf numFmtId="2" fontId="9" fillId="0" borderId="12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_ДНЗ №3 Козачок 01.01.11" xfId="3"/>
    <cellStyle name="Обычный_Штати НВК Берізка на 01.01.15р.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3"/>
  <sheetViews>
    <sheetView tabSelected="1" view="pageBreakPreview" topLeftCell="A2" zoomScale="85" zoomScaleNormal="85" workbookViewId="0">
      <selection activeCell="Z3" sqref="Z3:AD4"/>
    </sheetView>
  </sheetViews>
  <sheetFormatPr defaultRowHeight="15" x14ac:dyDescent="0.25"/>
  <cols>
    <col min="1" max="1" width="4.140625" customWidth="1"/>
    <col min="2" max="2" width="23.5703125" customWidth="1"/>
    <col min="3" max="3" width="8.5703125" customWidth="1"/>
    <col min="4" max="4" width="12.140625" customWidth="1"/>
    <col min="5" max="5" width="10.7109375" customWidth="1"/>
    <col min="6" max="6" width="12" customWidth="1"/>
    <col min="7" max="7" width="12.42578125" customWidth="1"/>
    <col min="8" max="8" width="11" customWidth="1"/>
    <col min="9" max="9" width="9.28515625" customWidth="1"/>
    <col min="10" max="15" width="9.7109375" hidden="1" customWidth="1"/>
    <col min="16" max="16" width="7.85546875" customWidth="1"/>
    <col min="17" max="17" width="10.85546875" customWidth="1"/>
    <col min="18" max="18" width="10.7109375" customWidth="1"/>
    <col min="19" max="19" width="10.85546875" customWidth="1"/>
    <col min="20" max="20" width="9.42578125" customWidth="1"/>
    <col min="21" max="21" width="8.42578125" hidden="1" customWidth="1"/>
    <col min="22" max="22" width="8" hidden="1" customWidth="1"/>
    <col min="23" max="23" width="7.5703125" customWidth="1"/>
    <col min="24" max="24" width="9.42578125" customWidth="1"/>
    <col min="25" max="25" width="12" customWidth="1"/>
    <col min="26" max="26" width="10.85546875" customWidth="1"/>
    <col min="27" max="27" width="11.5703125" customWidth="1"/>
    <col min="28" max="28" width="12" customWidth="1"/>
    <col min="29" max="29" width="11.85546875" customWidth="1"/>
    <col min="30" max="30" width="14" customWidth="1"/>
    <col min="31" max="31" width="13.85546875" customWidth="1"/>
  </cols>
  <sheetData>
    <row r="1" spans="1:33" ht="15.75" x14ac:dyDescent="0.25">
      <c r="X1" s="1"/>
      <c r="Y1" s="2"/>
      <c r="Z1" s="3"/>
      <c r="AA1" s="3"/>
      <c r="AB1" s="3"/>
      <c r="AD1" s="3"/>
      <c r="AE1" s="4"/>
      <c r="AF1" s="4"/>
      <c r="AG1" s="4"/>
    </row>
    <row r="2" spans="1:33" ht="6" customHeight="1" x14ac:dyDescent="0.25">
      <c r="X2" s="5"/>
      <c r="Y2" s="6"/>
      <c r="Z2" s="6"/>
      <c r="AA2" s="6"/>
      <c r="AB2" s="6"/>
      <c r="AD2" s="6"/>
      <c r="AE2" s="4"/>
      <c r="AF2" s="4"/>
      <c r="AG2" s="4"/>
    </row>
    <row r="3" spans="1:33" ht="15.75" x14ac:dyDescent="0.25">
      <c r="A3" s="7"/>
      <c r="B3" s="8"/>
      <c r="C3" s="9"/>
      <c r="D3" s="10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X3" s="11"/>
      <c r="Y3" s="11"/>
      <c r="Z3" s="80" t="s">
        <v>64</v>
      </c>
      <c r="AA3" s="80"/>
      <c r="AB3" s="80"/>
      <c r="AC3" s="80"/>
      <c r="AD3" s="80"/>
      <c r="AE3" s="4"/>
      <c r="AF3" s="4"/>
      <c r="AG3" s="4"/>
    </row>
    <row r="4" spans="1:33" ht="15.75" customHeight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X4" s="11"/>
      <c r="Y4" s="4"/>
      <c r="Z4" s="81" t="s">
        <v>65</v>
      </c>
      <c r="AA4" s="81"/>
      <c r="AB4" s="81"/>
      <c r="AC4" s="81"/>
      <c r="AD4" s="81"/>
      <c r="AE4" s="4"/>
      <c r="AF4" s="4"/>
      <c r="AG4" s="4"/>
    </row>
    <row r="5" spans="1:33" ht="15.75" customHeight="1" x14ac:dyDescent="0.25">
      <c r="A5" s="12"/>
      <c r="B5" s="14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X5" s="11"/>
      <c r="Y5" s="15"/>
      <c r="Z5" s="11"/>
      <c r="AA5" s="11"/>
      <c r="AB5" s="11"/>
      <c r="AC5" s="16"/>
      <c r="AD5" s="13"/>
      <c r="AE5" s="4"/>
      <c r="AF5" s="4"/>
      <c r="AG5" s="4"/>
    </row>
    <row r="6" spans="1:33" s="18" customFormat="1" ht="18" customHeight="1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X6" s="19"/>
      <c r="Y6" s="20"/>
      <c r="Z6" s="21"/>
      <c r="AA6" s="21"/>
      <c r="AB6" s="22"/>
      <c r="AD6" s="22"/>
      <c r="AE6" s="23"/>
      <c r="AF6" s="23"/>
      <c r="AG6" s="23"/>
    </row>
    <row r="7" spans="1:33" s="18" customFormat="1" ht="21.75" customHeight="1" x14ac:dyDescent="0.3">
      <c r="A7" s="24" t="s">
        <v>0</v>
      </c>
      <c r="X7" s="74"/>
      <c r="Y7" s="74"/>
      <c r="Z7" s="75"/>
      <c r="AA7" s="76"/>
      <c r="AB7" s="2"/>
      <c r="AD7" s="25"/>
      <c r="AE7" s="23"/>
      <c r="AF7" s="23"/>
      <c r="AG7" s="23"/>
    </row>
    <row r="8" spans="1:33" s="18" customFormat="1" ht="18.75" x14ac:dyDescent="0.3">
      <c r="A8" s="26" t="s">
        <v>1</v>
      </c>
      <c r="D8" s="27"/>
      <c r="E8" s="28" t="s">
        <v>2</v>
      </c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7"/>
      <c r="V8" s="30">
        <f>Y20+Y21+Y22+Y33+Y23+Y26</f>
        <v>12941.560000000001</v>
      </c>
      <c r="W8" s="31"/>
      <c r="X8" s="31"/>
      <c r="Y8" s="31"/>
      <c r="Z8" s="31"/>
      <c r="AD8" s="23"/>
      <c r="AE8" s="23"/>
      <c r="AF8" s="23"/>
      <c r="AG8" s="23"/>
    </row>
    <row r="9" spans="1:33" s="33" customFormat="1" ht="15.75" customHeight="1" x14ac:dyDescent="0.25">
      <c r="A9" s="32"/>
      <c r="F9" s="34">
        <f>SUM(F20:F28)</f>
        <v>196861.57722222223</v>
      </c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Y9" s="34">
        <f>SUM(Y20:Y28)</f>
        <v>45888.814444444448</v>
      </c>
      <c r="Z9" s="35"/>
      <c r="AA9" s="34">
        <f>SUM(AA20:AA28)</f>
        <v>360023.5861666667</v>
      </c>
      <c r="AB9" s="35"/>
      <c r="AC9" s="35"/>
      <c r="AD9" s="35"/>
      <c r="AE9" s="35"/>
      <c r="AF9" s="35"/>
      <c r="AG9" s="35"/>
    </row>
    <row r="10" spans="1:33" s="18" customFormat="1" ht="15.75" hidden="1" customHeight="1" x14ac:dyDescent="0.25">
      <c r="A10" s="28"/>
      <c r="H10" s="36"/>
      <c r="I10" s="37"/>
      <c r="J10" s="36"/>
      <c r="K10" s="36"/>
      <c r="L10" s="36"/>
      <c r="M10" s="36"/>
      <c r="N10" s="36"/>
      <c r="O10" s="36"/>
      <c r="P10" s="36"/>
      <c r="Q10" s="36"/>
      <c r="R10" s="36"/>
      <c r="S10" s="36"/>
    </row>
    <row r="11" spans="1:33" s="18" customFormat="1" ht="12.75" customHeight="1" x14ac:dyDescent="0.2">
      <c r="A11" s="87" t="s">
        <v>3</v>
      </c>
      <c r="B11" s="88" t="s">
        <v>4</v>
      </c>
      <c r="C11" s="88" t="s">
        <v>5</v>
      </c>
      <c r="D11" s="82" t="s">
        <v>6</v>
      </c>
      <c r="E11" s="82" t="s">
        <v>7</v>
      </c>
      <c r="F11" s="88" t="s">
        <v>8</v>
      </c>
      <c r="G11" s="89" t="s">
        <v>9</v>
      </c>
      <c r="H11" s="90"/>
      <c r="I11" s="91"/>
      <c r="J11" s="89" t="s">
        <v>10</v>
      </c>
      <c r="K11" s="90"/>
      <c r="L11" s="90"/>
      <c r="M11" s="90"/>
      <c r="N11" s="90"/>
      <c r="O11" s="90"/>
      <c r="P11" s="89" t="s">
        <v>11</v>
      </c>
      <c r="Q11" s="90"/>
      <c r="R11" s="90"/>
      <c r="S11" s="90"/>
      <c r="T11" s="90"/>
      <c r="U11" s="90"/>
      <c r="V11" s="90"/>
      <c r="W11" s="90"/>
      <c r="X11" s="91"/>
      <c r="Y11" s="85" t="s">
        <v>12</v>
      </c>
      <c r="Z11" s="77" t="s">
        <v>13</v>
      </c>
      <c r="AA11" s="98" t="s">
        <v>62</v>
      </c>
      <c r="AB11" s="77" t="s">
        <v>14</v>
      </c>
      <c r="AC11" s="77" t="s">
        <v>15</v>
      </c>
      <c r="AD11" s="85" t="s">
        <v>63</v>
      </c>
    </row>
    <row r="12" spans="1:33" s="18" customFormat="1" ht="12.75" customHeight="1" x14ac:dyDescent="0.2">
      <c r="A12" s="87"/>
      <c r="B12" s="88"/>
      <c r="C12" s="88"/>
      <c r="D12" s="83"/>
      <c r="E12" s="83"/>
      <c r="F12" s="88"/>
      <c r="G12" s="92"/>
      <c r="H12" s="93"/>
      <c r="I12" s="94"/>
      <c r="J12" s="92"/>
      <c r="K12" s="93"/>
      <c r="L12" s="93"/>
      <c r="M12" s="93"/>
      <c r="N12" s="93"/>
      <c r="O12" s="93"/>
      <c r="P12" s="92"/>
      <c r="Q12" s="93"/>
      <c r="R12" s="93"/>
      <c r="S12" s="93"/>
      <c r="T12" s="93"/>
      <c r="U12" s="93"/>
      <c r="V12" s="93"/>
      <c r="W12" s="93"/>
      <c r="X12" s="94"/>
      <c r="Y12" s="85"/>
      <c r="Z12" s="78"/>
      <c r="AA12" s="98"/>
      <c r="AB12" s="78"/>
      <c r="AC12" s="78"/>
      <c r="AD12" s="85"/>
    </row>
    <row r="13" spans="1:33" s="18" customFormat="1" ht="12.75" customHeight="1" x14ac:dyDescent="0.2">
      <c r="A13" s="87"/>
      <c r="B13" s="88"/>
      <c r="C13" s="88"/>
      <c r="D13" s="83"/>
      <c r="E13" s="83"/>
      <c r="F13" s="88"/>
      <c r="G13" s="95"/>
      <c r="H13" s="96"/>
      <c r="I13" s="97"/>
      <c r="J13" s="95"/>
      <c r="K13" s="96"/>
      <c r="L13" s="96"/>
      <c r="M13" s="96"/>
      <c r="N13" s="96"/>
      <c r="O13" s="96"/>
      <c r="P13" s="95"/>
      <c r="Q13" s="96"/>
      <c r="R13" s="96"/>
      <c r="S13" s="96"/>
      <c r="T13" s="96"/>
      <c r="U13" s="96"/>
      <c r="V13" s="96"/>
      <c r="W13" s="96"/>
      <c r="X13" s="97"/>
      <c r="Y13" s="85"/>
      <c r="Z13" s="78"/>
      <c r="AA13" s="98"/>
      <c r="AB13" s="78"/>
      <c r="AC13" s="78"/>
      <c r="AD13" s="85"/>
    </row>
    <row r="14" spans="1:33" s="18" customFormat="1" ht="12.75" customHeight="1" x14ac:dyDescent="0.2">
      <c r="A14" s="87"/>
      <c r="B14" s="88"/>
      <c r="C14" s="88"/>
      <c r="D14" s="83"/>
      <c r="E14" s="83"/>
      <c r="F14" s="88"/>
      <c r="G14" s="99" t="s">
        <v>16</v>
      </c>
      <c r="H14" s="82" t="s">
        <v>17</v>
      </c>
      <c r="I14" s="82" t="s">
        <v>18</v>
      </c>
      <c r="J14" s="82" t="s">
        <v>19</v>
      </c>
      <c r="K14" s="82" t="s">
        <v>20</v>
      </c>
      <c r="L14" s="82" t="s">
        <v>21</v>
      </c>
      <c r="M14" s="82" t="s">
        <v>22</v>
      </c>
      <c r="N14" s="82" t="s">
        <v>23</v>
      </c>
      <c r="O14" s="82" t="s">
        <v>24</v>
      </c>
      <c r="P14" s="82" t="s">
        <v>25</v>
      </c>
      <c r="Q14" s="106" t="s">
        <v>26</v>
      </c>
      <c r="R14" s="88" t="s">
        <v>27</v>
      </c>
      <c r="S14" s="109" t="s">
        <v>28</v>
      </c>
      <c r="T14" s="82" t="s">
        <v>29</v>
      </c>
      <c r="U14" s="109" t="s">
        <v>30</v>
      </c>
      <c r="V14" s="82" t="s">
        <v>31</v>
      </c>
      <c r="W14" s="82" t="s">
        <v>32</v>
      </c>
      <c r="X14" s="82" t="s">
        <v>33</v>
      </c>
      <c r="Y14" s="85"/>
      <c r="Z14" s="78"/>
      <c r="AA14" s="98"/>
      <c r="AB14" s="78"/>
      <c r="AC14" s="78"/>
      <c r="AD14" s="85"/>
    </row>
    <row r="15" spans="1:33" s="18" customFormat="1" ht="12.75" customHeight="1" x14ac:dyDescent="0.2">
      <c r="A15" s="87"/>
      <c r="B15" s="88"/>
      <c r="C15" s="88"/>
      <c r="D15" s="83"/>
      <c r="E15" s="83"/>
      <c r="F15" s="88"/>
      <c r="G15" s="100"/>
      <c r="H15" s="83"/>
      <c r="I15" s="83"/>
      <c r="J15" s="83"/>
      <c r="K15" s="83"/>
      <c r="L15" s="83"/>
      <c r="M15" s="83"/>
      <c r="N15" s="83"/>
      <c r="O15" s="83"/>
      <c r="P15" s="83"/>
      <c r="Q15" s="107"/>
      <c r="R15" s="88"/>
      <c r="S15" s="110"/>
      <c r="T15" s="83"/>
      <c r="U15" s="110"/>
      <c r="V15" s="83"/>
      <c r="W15" s="83"/>
      <c r="X15" s="83"/>
      <c r="Y15" s="85"/>
      <c r="Z15" s="78"/>
      <c r="AA15" s="98"/>
      <c r="AB15" s="78"/>
      <c r="AC15" s="78"/>
      <c r="AD15" s="85"/>
    </row>
    <row r="16" spans="1:33" s="18" customFormat="1" ht="12.75" customHeight="1" x14ac:dyDescent="0.2">
      <c r="A16" s="87"/>
      <c r="B16" s="88"/>
      <c r="C16" s="88"/>
      <c r="D16" s="83"/>
      <c r="E16" s="83"/>
      <c r="F16" s="88"/>
      <c r="G16" s="100"/>
      <c r="H16" s="83"/>
      <c r="I16" s="83"/>
      <c r="J16" s="83"/>
      <c r="K16" s="83"/>
      <c r="L16" s="83"/>
      <c r="M16" s="83"/>
      <c r="N16" s="83"/>
      <c r="O16" s="83"/>
      <c r="P16" s="83"/>
      <c r="Q16" s="107"/>
      <c r="R16" s="88"/>
      <c r="S16" s="110"/>
      <c r="T16" s="83"/>
      <c r="U16" s="110"/>
      <c r="V16" s="83"/>
      <c r="W16" s="83"/>
      <c r="X16" s="83"/>
      <c r="Y16" s="85"/>
      <c r="Z16" s="78"/>
      <c r="AA16" s="98"/>
      <c r="AB16" s="78"/>
      <c r="AC16" s="78"/>
      <c r="AD16" s="85"/>
    </row>
    <row r="17" spans="1:31" s="18" customFormat="1" ht="12.75" customHeight="1" x14ac:dyDescent="0.2">
      <c r="A17" s="87"/>
      <c r="B17" s="88"/>
      <c r="C17" s="88"/>
      <c r="D17" s="83"/>
      <c r="E17" s="83"/>
      <c r="F17" s="88"/>
      <c r="G17" s="100"/>
      <c r="H17" s="83"/>
      <c r="I17" s="83"/>
      <c r="J17" s="83"/>
      <c r="K17" s="83"/>
      <c r="L17" s="83"/>
      <c r="M17" s="83"/>
      <c r="N17" s="83"/>
      <c r="O17" s="83"/>
      <c r="P17" s="83"/>
      <c r="Q17" s="107"/>
      <c r="R17" s="88"/>
      <c r="S17" s="110"/>
      <c r="T17" s="83"/>
      <c r="U17" s="110"/>
      <c r="V17" s="83"/>
      <c r="W17" s="83"/>
      <c r="X17" s="83"/>
      <c r="Y17" s="85"/>
      <c r="Z17" s="78"/>
      <c r="AA17" s="98"/>
      <c r="AB17" s="78"/>
      <c r="AC17" s="78"/>
      <c r="AD17" s="85"/>
    </row>
    <row r="18" spans="1:31" s="18" customFormat="1" ht="12.75" customHeight="1" x14ac:dyDescent="0.2">
      <c r="A18" s="87"/>
      <c r="B18" s="88"/>
      <c r="C18" s="88"/>
      <c r="D18" s="83"/>
      <c r="E18" s="83"/>
      <c r="F18" s="88"/>
      <c r="G18" s="100"/>
      <c r="H18" s="83"/>
      <c r="I18" s="83"/>
      <c r="J18" s="83"/>
      <c r="K18" s="83"/>
      <c r="L18" s="83"/>
      <c r="M18" s="83"/>
      <c r="N18" s="83"/>
      <c r="O18" s="83"/>
      <c r="P18" s="83"/>
      <c r="Q18" s="107"/>
      <c r="R18" s="88"/>
      <c r="S18" s="110"/>
      <c r="T18" s="83"/>
      <c r="U18" s="110"/>
      <c r="V18" s="83"/>
      <c r="W18" s="83"/>
      <c r="X18" s="83"/>
      <c r="Y18" s="85"/>
      <c r="Z18" s="78"/>
      <c r="AA18" s="98"/>
      <c r="AB18" s="78"/>
      <c r="AC18" s="78"/>
      <c r="AD18" s="85"/>
    </row>
    <row r="19" spans="1:31" s="18" customFormat="1" ht="42" customHeight="1" x14ac:dyDescent="0.2">
      <c r="A19" s="87"/>
      <c r="B19" s="88"/>
      <c r="C19" s="88"/>
      <c r="D19" s="84"/>
      <c r="E19" s="84"/>
      <c r="F19" s="88"/>
      <c r="G19" s="101"/>
      <c r="H19" s="84"/>
      <c r="I19" s="84"/>
      <c r="J19" s="84"/>
      <c r="K19" s="84"/>
      <c r="L19" s="84"/>
      <c r="M19" s="84"/>
      <c r="N19" s="84"/>
      <c r="O19" s="84"/>
      <c r="P19" s="84"/>
      <c r="Q19" s="108"/>
      <c r="R19" s="88"/>
      <c r="S19" s="111"/>
      <c r="T19" s="84"/>
      <c r="U19" s="111"/>
      <c r="V19" s="84"/>
      <c r="W19" s="84"/>
      <c r="X19" s="84"/>
      <c r="Y19" s="85"/>
      <c r="Z19" s="79"/>
      <c r="AA19" s="98"/>
      <c r="AB19" s="79"/>
      <c r="AC19" s="79"/>
      <c r="AD19" s="85"/>
    </row>
    <row r="20" spans="1:31" s="23" customFormat="1" ht="15.75" x14ac:dyDescent="0.2">
      <c r="A20" s="38">
        <v>1</v>
      </c>
      <c r="B20" s="39" t="s">
        <v>34</v>
      </c>
      <c r="C20" s="38">
        <v>1</v>
      </c>
      <c r="D20" s="40">
        <v>8194</v>
      </c>
      <c r="E20" s="41">
        <f>D20*0.3</f>
        <v>2458.1999999999998</v>
      </c>
      <c r="F20" s="42">
        <f>D20+E20</f>
        <v>10652.2</v>
      </c>
      <c r="G20" s="41">
        <f>F20*30%</f>
        <v>3195.6600000000003</v>
      </c>
      <c r="H20" s="41">
        <f>F20*50%</f>
        <v>5326.1</v>
      </c>
      <c r="I20" s="41"/>
      <c r="J20" s="41"/>
      <c r="K20" s="41"/>
      <c r="L20" s="41"/>
      <c r="M20" s="41"/>
      <c r="N20" s="41"/>
      <c r="O20" s="41"/>
      <c r="P20" s="41"/>
      <c r="Q20" s="42"/>
      <c r="R20" s="41"/>
      <c r="S20" s="42"/>
      <c r="T20" s="42"/>
      <c r="U20" s="42"/>
      <c r="V20" s="42"/>
      <c r="W20" s="42">
        <f>F20*0.05</f>
        <v>532.61</v>
      </c>
      <c r="X20" s="42"/>
      <c r="Y20" s="42">
        <f>F20*0.3</f>
        <v>3195.6600000000003</v>
      </c>
      <c r="Z20" s="42"/>
      <c r="AA20" s="43">
        <f>SUM(F20:Y20)</f>
        <v>22902.23</v>
      </c>
      <c r="AB20" s="42"/>
      <c r="AC20" s="42"/>
      <c r="AD20" s="43">
        <f>AA20*6+AB20+AC20</f>
        <v>137413.38</v>
      </c>
    </row>
    <row r="21" spans="1:31" s="23" customFormat="1" ht="13.5" customHeight="1" x14ac:dyDescent="0.2">
      <c r="A21" s="38">
        <v>2</v>
      </c>
      <c r="B21" s="112" t="s">
        <v>35</v>
      </c>
      <c r="C21" s="114">
        <v>2</v>
      </c>
      <c r="D21" s="116">
        <f>ROUND(D20*0.95,0)</f>
        <v>7784</v>
      </c>
      <c r="E21" s="104">
        <f>D21*0.3</f>
        <v>2335.1999999999998</v>
      </c>
      <c r="F21" s="104">
        <f>(D21+E21)*C21</f>
        <v>20238.400000000001</v>
      </c>
      <c r="G21" s="104">
        <f>F21*30%</f>
        <v>6071.52</v>
      </c>
      <c r="H21" s="104">
        <f>F21*10%</f>
        <v>2023.8400000000001</v>
      </c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>
        <f>F21/2*0.2</f>
        <v>2023.8400000000001</v>
      </c>
      <c r="Z21" s="42"/>
      <c r="AA21" s="102">
        <f>SUM(F21:Y22)</f>
        <v>33393.360000000001</v>
      </c>
      <c r="AB21" s="104"/>
      <c r="AC21" s="104"/>
      <c r="AD21" s="102">
        <f>AA21*6+AB21+AC21</f>
        <v>200360.16</v>
      </c>
    </row>
    <row r="22" spans="1:31" s="23" customFormat="1" ht="16.5" customHeight="1" x14ac:dyDescent="0.2">
      <c r="A22" s="38">
        <v>3</v>
      </c>
      <c r="B22" s="113"/>
      <c r="C22" s="115"/>
      <c r="D22" s="117"/>
      <c r="E22" s="105"/>
      <c r="F22" s="105"/>
      <c r="G22" s="105"/>
      <c r="H22" s="105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>
        <f>F21/2*0.3</f>
        <v>3035.76</v>
      </c>
      <c r="Z22" s="42"/>
      <c r="AA22" s="103"/>
      <c r="AB22" s="105"/>
      <c r="AC22" s="105"/>
      <c r="AD22" s="103"/>
    </row>
    <row r="23" spans="1:31" s="23" customFormat="1" ht="19.5" customHeight="1" x14ac:dyDescent="0.2">
      <c r="A23" s="38">
        <v>4</v>
      </c>
      <c r="B23" s="39" t="s">
        <v>36</v>
      </c>
      <c r="C23" s="38">
        <v>1</v>
      </c>
      <c r="D23" s="44">
        <v>7107</v>
      </c>
      <c r="E23" s="41">
        <f>D23*0.1</f>
        <v>710.7</v>
      </c>
      <c r="F23" s="42">
        <f>(D23+E23)*C23</f>
        <v>7817.7</v>
      </c>
      <c r="G23" s="41">
        <f>F23*20%</f>
        <v>1563.54</v>
      </c>
      <c r="H23" s="41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>
        <f>F23*0.3</f>
        <v>2345.31</v>
      </c>
      <c r="Z23" s="42"/>
      <c r="AA23" s="43">
        <f t="shared" ref="AA23:AA30" si="0">SUM(F23:Y23)</f>
        <v>11726.55</v>
      </c>
      <c r="AB23" s="42"/>
      <c r="AC23" s="42"/>
      <c r="AD23" s="43">
        <f t="shared" ref="AD23:AD30" si="1">AA23*6+AB23+AC23</f>
        <v>70359.299999999988</v>
      </c>
    </row>
    <row r="24" spans="1:31" s="23" customFormat="1" ht="19.5" customHeight="1" x14ac:dyDescent="0.2">
      <c r="A24" s="38">
        <v>5</v>
      </c>
      <c r="B24" s="39" t="s">
        <v>37</v>
      </c>
      <c r="C24" s="38">
        <v>0.25</v>
      </c>
      <c r="D24" s="44">
        <v>7107</v>
      </c>
      <c r="E24" s="41">
        <f t="shared" ref="E24:E30" si="2">D24*0.1</f>
        <v>710.7</v>
      </c>
      <c r="F24" s="42">
        <f>(D24+E24)*C24</f>
        <v>1954.425</v>
      </c>
      <c r="G24" s="41">
        <f>F24*20%</f>
        <v>390.88499999999999</v>
      </c>
      <c r="H24" s="41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>
        <f>ROUND(F24*30%,2)</f>
        <v>586.33000000000004</v>
      </c>
      <c r="Z24" s="42"/>
      <c r="AA24" s="43">
        <f t="shared" si="0"/>
        <v>2931.64</v>
      </c>
      <c r="AB24" s="42"/>
      <c r="AC24" s="42"/>
      <c r="AD24" s="43">
        <f t="shared" si="1"/>
        <v>17589.84</v>
      </c>
    </row>
    <row r="25" spans="1:31" s="23" customFormat="1" ht="19.5" customHeight="1" x14ac:dyDescent="0.2">
      <c r="A25" s="38">
        <v>6</v>
      </c>
      <c r="B25" s="39" t="s">
        <v>38</v>
      </c>
      <c r="C25" s="38">
        <v>1</v>
      </c>
      <c r="D25" s="44">
        <v>7107</v>
      </c>
      <c r="E25" s="41">
        <f t="shared" si="2"/>
        <v>710.7</v>
      </c>
      <c r="F25" s="42">
        <f>(D25+E25)*C25</f>
        <v>7817.7</v>
      </c>
      <c r="G25" s="41">
        <f>F25*20%</f>
        <v>1563.54</v>
      </c>
      <c r="H25" s="41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>
        <f>ROUND(F25*30%,2)</f>
        <v>2345.31</v>
      </c>
      <c r="Z25" s="42"/>
      <c r="AA25" s="43">
        <f t="shared" si="0"/>
        <v>11726.55</v>
      </c>
      <c r="AB25" s="42"/>
      <c r="AC25" s="42"/>
      <c r="AD25" s="43">
        <f t="shared" si="1"/>
        <v>70359.299999999988</v>
      </c>
    </row>
    <row r="26" spans="1:31" s="23" customFormat="1" ht="20.25" customHeight="1" x14ac:dyDescent="0.2">
      <c r="A26" s="38">
        <v>7</v>
      </c>
      <c r="B26" s="39" t="s">
        <v>39</v>
      </c>
      <c r="C26" s="38">
        <v>0.5</v>
      </c>
      <c r="D26" s="42">
        <v>6226</v>
      </c>
      <c r="E26" s="41">
        <f t="shared" si="2"/>
        <v>622.6</v>
      </c>
      <c r="F26" s="42">
        <f>(D26+E26)*C26</f>
        <v>3424.3</v>
      </c>
      <c r="G26" s="41">
        <f>F26*20%</f>
        <v>684.86000000000013</v>
      </c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>
        <f>F26*0.3</f>
        <v>1027.29</v>
      </c>
      <c r="Z26" s="42"/>
      <c r="AA26" s="43">
        <f>SUM(F26:Y26)</f>
        <v>5136.45</v>
      </c>
      <c r="AB26" s="42"/>
      <c r="AC26" s="42"/>
      <c r="AD26" s="43">
        <f t="shared" si="1"/>
        <v>30818.699999999997</v>
      </c>
    </row>
    <row r="27" spans="1:31" s="23" customFormat="1" ht="20.25" customHeight="1" x14ac:dyDescent="0.2">
      <c r="A27" s="38">
        <v>8</v>
      </c>
      <c r="B27" s="45" t="s">
        <v>40</v>
      </c>
      <c r="C27" s="41">
        <v>8.5</v>
      </c>
      <c r="D27" s="44">
        <f>F27/C27</f>
        <v>7041.044967320262</v>
      </c>
      <c r="E27" s="41">
        <f t="shared" si="2"/>
        <v>704.10449673202629</v>
      </c>
      <c r="F27" s="44">
        <f>(7107*0.1+7107)/18*33+(6667+6667*0.1)/18*39+(6226*0.1+6226)/18*28+(5786*0.1+5786)/18*47+(5345*0.1+5345)/18*6+394.86</f>
        <v>59848.88222222223</v>
      </c>
      <c r="G27" s="41">
        <f>F27*30%</f>
        <v>17954.664666666667</v>
      </c>
      <c r="H27" s="44"/>
      <c r="I27" s="41"/>
      <c r="J27" s="41"/>
      <c r="K27" s="41"/>
      <c r="L27" s="41"/>
      <c r="M27" s="41"/>
      <c r="N27" s="41"/>
      <c r="O27" s="41"/>
      <c r="P27" s="41"/>
      <c r="Q27" s="41">
        <v>15440.64</v>
      </c>
      <c r="R27" s="44">
        <f>((7107*0.1+7107)/18*30+(6667+6667*0.1)/18*22+(6226*0.1+6226)/18*24+(5786*0.1+5786)/18*36)*0.15+59.2</f>
        <v>6637.2366666666676</v>
      </c>
      <c r="S27" s="44">
        <f>(7107*0.1+7107)*0.2+(6667+6667*0.1)*0.2+(5786*0.1+5786)*2*0.2</f>
        <v>5576.12</v>
      </c>
      <c r="T27" s="44"/>
      <c r="U27" s="41"/>
      <c r="V27" s="44"/>
      <c r="X27" s="44"/>
      <c r="Y27" s="44">
        <f>((7107*0.1+7107)/18*12+(5786*0.1+5786)/18*2)*0.3+((7107*0.1+7107)/18*21+(6667+6667*0.1)/18*39+(6226*0.1+6226)/18*20)*0.2+((6226*0.1+6226)/18*8+(5786*0.1+5786)/18*45)*0.1</f>
        <v>10195.203333333333</v>
      </c>
      <c r="Z27" s="42"/>
      <c r="AA27" s="43">
        <f>SUM(F27:Y27)+6827.29</f>
        <v>122480.03688888889</v>
      </c>
      <c r="AB27" s="42"/>
      <c r="AC27" s="42"/>
      <c r="AD27" s="43">
        <f t="shared" si="1"/>
        <v>734880.22133333329</v>
      </c>
    </row>
    <row r="28" spans="1:31" s="23" customFormat="1" ht="18.75" customHeight="1" x14ac:dyDescent="0.2">
      <c r="A28" s="38">
        <v>9</v>
      </c>
      <c r="B28" s="39" t="s">
        <v>41</v>
      </c>
      <c r="C28" s="41">
        <v>11.75</v>
      </c>
      <c r="D28" s="44">
        <f>F28/C28</f>
        <v>7243.2314893617022</v>
      </c>
      <c r="E28" s="41">
        <f t="shared" si="2"/>
        <v>724.32314893617024</v>
      </c>
      <c r="F28" s="44">
        <f>(7107*0.1+7107)/18*63+(6667+6667*0.1)/18*46+(6226*0.1+6226)/18*62+(5786*0.1+5786)/18*22.5+(5345*0.1+5345)/18*18+1579.47</f>
        <v>85107.97</v>
      </c>
      <c r="G28" s="41">
        <f>F28*20%+3589.36</f>
        <v>20610.954000000002</v>
      </c>
      <c r="H28" s="42"/>
      <c r="I28" s="41"/>
      <c r="J28" s="41"/>
      <c r="K28" s="41"/>
      <c r="L28" s="41"/>
      <c r="M28" s="41"/>
      <c r="N28" s="41"/>
      <c r="O28" s="41"/>
      <c r="P28" s="41"/>
      <c r="Q28" s="41"/>
      <c r="R28" s="44">
        <f>((7107*0.1+7107)/18*25+(6667+6667*0.1)/18*8+(6226*0.1+6226)/18*15+(5786*0.1+5786)/18*4)*0.15+415.35</f>
        <v>3601.1791666666663</v>
      </c>
      <c r="S28" s="44">
        <f>(7107*0.1+7107)*2*0.25+(6667+6667*0.1)*0.25+(6226*0.1+6226)*3*0.25+(5786*0.1+5786)*2*0.25-366.74</f>
        <v>13694.285000000002</v>
      </c>
      <c r="T28" s="44">
        <f>(7107*0.1+7107)*3*0.1+(6667+6667*0.1)*0.1+(6226*0.1+6226)*2*0.1+(5786*0.1+5786)*0.1+493.41</f>
        <v>5578.2699999999995</v>
      </c>
      <c r="U28" s="41"/>
      <c r="V28" s="41"/>
      <c r="W28" s="44"/>
      <c r="X28" s="41"/>
      <c r="Y28" s="44">
        <f>((7107*0.1+7107)/18*63+(6667*0.1+6667)/18*17+(5786*0.1+5786)/18*3)*0.3+((6667+6667*0.1)/18*29+(6226*0.1+6226)/18*24)*0.2+((6226*0.1+6226)/18*27)*0.1+5312.75</f>
        <v>21134.111111111113</v>
      </c>
      <c r="Z28" s="42"/>
      <c r="AA28" s="43">
        <f>SUM(F28:Y28)</f>
        <v>149726.76927777778</v>
      </c>
      <c r="AB28" s="42"/>
      <c r="AC28" s="42"/>
      <c r="AD28" s="43">
        <f t="shared" si="1"/>
        <v>898360.61566666677</v>
      </c>
    </row>
    <row r="29" spans="1:31" s="23" customFormat="1" ht="18.75" customHeight="1" x14ac:dyDescent="0.2">
      <c r="A29" s="38"/>
      <c r="B29" s="39" t="s">
        <v>42</v>
      </c>
      <c r="C29" s="41">
        <v>4.22</v>
      </c>
      <c r="D29" s="44">
        <f>F29/C29</f>
        <v>7208.2767245918913</v>
      </c>
      <c r="E29" s="41">
        <f t="shared" si="2"/>
        <v>720.82767245918922</v>
      </c>
      <c r="F29" s="44">
        <f>(7107*0.1+7107)/18*24.5+(6667+6667*0.1)/18*10.5+(6226*0.1+6226)/18*15+(5786*0.1+5786)/18*22+(5345*0.1+5345)/18*4+707.5</f>
        <v>30418.927777777779</v>
      </c>
      <c r="G29" s="41">
        <f>F29*20%</f>
        <v>6083.7855555555561</v>
      </c>
      <c r="H29" s="42"/>
      <c r="I29" s="41"/>
      <c r="J29" s="41"/>
      <c r="K29" s="41"/>
      <c r="L29" s="41"/>
      <c r="M29" s="41"/>
      <c r="N29" s="41"/>
      <c r="O29" s="41"/>
      <c r="P29" s="41"/>
      <c r="Q29" s="41"/>
      <c r="R29" s="44">
        <f>((7107*0.1+7107)/18*16.5+(6226*0.1+6226)/18*4+(5786*0.1+5786)/18*5)*0.1-9.09</f>
        <v>1036.5180555555557</v>
      </c>
      <c r="S29" s="44">
        <f>(6667+6667*0.1)*0.2+(5345*0.1+5345)*0.2</f>
        <v>2642.6400000000003</v>
      </c>
      <c r="T29" s="44">
        <f>(5345*0.1+5345)*0.1</f>
        <v>587.95000000000005</v>
      </c>
      <c r="U29" s="41"/>
      <c r="V29" s="41"/>
      <c r="W29" s="44"/>
      <c r="X29" s="41"/>
      <c r="Y29" s="44">
        <f>((7107*0.1+7107)/18*24.5+(6667*0.1+6667)/18*5.5)*0.3+((6667+6667*0.1)/18*5+(6226*0.1+6226)/18*9)*0.2+((6226*0.1+6226)/18*6)*0.1</f>
        <v>5185.057777777778</v>
      </c>
      <c r="Z29" s="42"/>
      <c r="AA29" s="43">
        <f>SUM(F29:Y29)+6000</f>
        <v>51954.879166666666</v>
      </c>
      <c r="AB29" s="42"/>
      <c r="AC29" s="42"/>
      <c r="AD29" s="43">
        <f t="shared" si="1"/>
        <v>311729.27500000002</v>
      </c>
    </row>
    <row r="30" spans="1:31" s="23" customFormat="1" ht="18.75" customHeight="1" x14ac:dyDescent="0.2">
      <c r="A30" s="38">
        <v>10</v>
      </c>
      <c r="B30" s="39" t="s">
        <v>43</v>
      </c>
      <c r="C30" s="41">
        <v>3</v>
      </c>
      <c r="D30" s="44">
        <f>F30/C30</f>
        <v>6886.833333333333</v>
      </c>
      <c r="E30" s="41">
        <f t="shared" si="2"/>
        <v>688.68333333333339</v>
      </c>
      <c r="F30" s="44">
        <f>7107*2.5+5786*0.5</f>
        <v>20660.5</v>
      </c>
      <c r="G30" s="41">
        <f>F30*20%</f>
        <v>4132.1000000000004</v>
      </c>
      <c r="H30" s="42"/>
      <c r="I30" s="41"/>
      <c r="J30" s="41"/>
      <c r="K30" s="41"/>
      <c r="L30" s="41"/>
      <c r="M30" s="41"/>
      <c r="N30" s="41"/>
      <c r="O30" s="41"/>
      <c r="P30" s="41"/>
      <c r="Q30" s="41"/>
      <c r="R30" s="44"/>
      <c r="S30" s="44"/>
      <c r="T30" s="42"/>
      <c r="U30" s="41"/>
      <c r="V30" s="41"/>
      <c r="W30" s="44"/>
      <c r="X30" s="41"/>
      <c r="Y30" s="44">
        <f>7107*2*0.3+7107*0.5*0.2+5786*0.5*0.1</f>
        <v>5264.2</v>
      </c>
      <c r="Z30" s="42"/>
      <c r="AA30" s="43">
        <f t="shared" si="0"/>
        <v>30056.799999999999</v>
      </c>
      <c r="AB30" s="42"/>
      <c r="AC30" s="42"/>
      <c r="AD30" s="43">
        <f t="shared" si="1"/>
        <v>180340.8</v>
      </c>
    </row>
    <row r="31" spans="1:31" s="23" customFormat="1" ht="24" customHeight="1" x14ac:dyDescent="0.2">
      <c r="A31" s="38"/>
      <c r="B31" s="46" t="s">
        <v>44</v>
      </c>
      <c r="C31" s="47">
        <f>SUM(C20:C30)</f>
        <v>33.22</v>
      </c>
      <c r="D31" s="47">
        <f>SUM(D20:D30)</f>
        <v>71904.386514607177</v>
      </c>
      <c r="E31" s="47">
        <f t="shared" ref="E31:AC31" si="3">SUM(E20:E30)</f>
        <v>10386.038651460716</v>
      </c>
      <c r="F31" s="47">
        <f t="shared" si="3"/>
        <v>247941.005</v>
      </c>
      <c r="G31" s="47">
        <f t="shared" si="3"/>
        <v>62251.509222222223</v>
      </c>
      <c r="H31" s="47">
        <f t="shared" si="3"/>
        <v>7349.9400000000005</v>
      </c>
      <c r="I31" s="47">
        <f t="shared" si="3"/>
        <v>0</v>
      </c>
      <c r="J31" s="47">
        <f t="shared" si="3"/>
        <v>0</v>
      </c>
      <c r="K31" s="47">
        <f t="shared" si="3"/>
        <v>0</v>
      </c>
      <c r="L31" s="47">
        <f t="shared" si="3"/>
        <v>0</v>
      </c>
      <c r="M31" s="47">
        <f t="shared" si="3"/>
        <v>0</v>
      </c>
      <c r="N31" s="47">
        <f t="shared" si="3"/>
        <v>0</v>
      </c>
      <c r="O31" s="47">
        <f t="shared" si="3"/>
        <v>0</v>
      </c>
      <c r="P31" s="47">
        <f t="shared" si="3"/>
        <v>0</v>
      </c>
      <c r="Q31" s="47">
        <f t="shared" si="3"/>
        <v>15440.64</v>
      </c>
      <c r="R31" s="47">
        <f t="shared" si="3"/>
        <v>11274.933888888891</v>
      </c>
      <c r="S31" s="47">
        <f>SUM(S20:S30)</f>
        <v>21913.045000000002</v>
      </c>
      <c r="T31" s="47">
        <f t="shared" si="3"/>
        <v>6166.2199999999993</v>
      </c>
      <c r="U31" s="47">
        <f t="shared" si="3"/>
        <v>0</v>
      </c>
      <c r="V31" s="47">
        <f t="shared" si="3"/>
        <v>0</v>
      </c>
      <c r="W31" s="47">
        <f t="shared" si="3"/>
        <v>532.61</v>
      </c>
      <c r="X31" s="47">
        <f t="shared" si="3"/>
        <v>0</v>
      </c>
      <c r="Y31" s="47">
        <f>SUM(Y20:Y30)</f>
        <v>56338.072222222225</v>
      </c>
      <c r="Z31" s="47">
        <f t="shared" si="3"/>
        <v>0</v>
      </c>
      <c r="AA31" s="47">
        <f>SUM(AA20:AA30)</f>
        <v>442035.26533333334</v>
      </c>
      <c r="AB31" s="47">
        <f>SUM(AB20:AB30)</f>
        <v>0</v>
      </c>
      <c r="AC31" s="47">
        <f t="shared" si="3"/>
        <v>0</v>
      </c>
      <c r="AD31" s="47">
        <f>SUM(AD20:AD30)</f>
        <v>2652211.5919999997</v>
      </c>
      <c r="AE31" s="23">
        <f>AA31*6</f>
        <v>2652211.5920000002</v>
      </c>
    </row>
    <row r="32" spans="1:31" s="23" customFormat="1" ht="31.5" x14ac:dyDescent="0.2">
      <c r="A32" s="38">
        <v>10</v>
      </c>
      <c r="B32" s="39" t="s">
        <v>45</v>
      </c>
      <c r="C32" s="38">
        <v>1</v>
      </c>
      <c r="D32" s="40">
        <v>4379</v>
      </c>
      <c r="E32" s="42"/>
      <c r="F32" s="42">
        <f t="shared" ref="F32:F44" si="4">D32*C32</f>
        <v>4379</v>
      </c>
      <c r="G32" s="42"/>
      <c r="H32" s="41">
        <f>F32*0.3</f>
        <v>1313.7</v>
      </c>
      <c r="I32" s="48"/>
      <c r="J32" s="48"/>
      <c r="K32" s="48"/>
      <c r="L32" s="48"/>
      <c r="M32" s="48"/>
      <c r="N32" s="48"/>
      <c r="O32" s="48"/>
      <c r="P32" s="48"/>
      <c r="Q32" s="42"/>
      <c r="R32" s="42"/>
      <c r="S32" s="42"/>
      <c r="T32" s="48"/>
      <c r="U32" s="49"/>
      <c r="V32" s="49"/>
      <c r="W32" s="42"/>
      <c r="X32" s="42"/>
      <c r="Y32" s="42"/>
      <c r="Z32" s="42">
        <f>6000*C32-(F32+H32+I32+P32+Y32)</f>
        <v>307.30000000000018</v>
      </c>
      <c r="AA32" s="43">
        <f>SUM(F32:Z32)</f>
        <v>6000</v>
      </c>
      <c r="AB32" s="42">
        <v>0</v>
      </c>
      <c r="AC32" s="42"/>
      <c r="AD32" s="43">
        <f t="shared" ref="AD32:AD44" si="5">AA32*6+AB32+AC32</f>
        <v>36000</v>
      </c>
    </row>
    <row r="33" spans="1:31" s="23" customFormat="1" ht="18.75" customHeight="1" x14ac:dyDescent="0.2">
      <c r="A33" s="38">
        <v>11</v>
      </c>
      <c r="B33" s="39" t="s">
        <v>46</v>
      </c>
      <c r="C33" s="38">
        <v>1</v>
      </c>
      <c r="D33" s="44">
        <v>4379</v>
      </c>
      <c r="E33" s="41"/>
      <c r="F33" s="42">
        <f t="shared" si="4"/>
        <v>4379</v>
      </c>
      <c r="G33" s="41"/>
      <c r="H33" s="41"/>
      <c r="I33" s="42">
        <f>F33*0.5</f>
        <v>2189.5</v>
      </c>
      <c r="J33" s="42"/>
      <c r="K33" s="42"/>
      <c r="L33" s="42"/>
      <c r="M33" s="42"/>
      <c r="N33" s="42"/>
      <c r="O33" s="42"/>
      <c r="P33" s="42">
        <f>F33*0.15</f>
        <v>656.85</v>
      </c>
      <c r="Q33" s="42"/>
      <c r="R33" s="42"/>
      <c r="S33" s="42"/>
      <c r="T33" s="42"/>
      <c r="U33" s="42"/>
      <c r="V33" s="42"/>
      <c r="W33" s="42"/>
      <c r="X33" s="42"/>
      <c r="Y33" s="42">
        <f>F33*0.3</f>
        <v>1313.7</v>
      </c>
      <c r="Z33" s="42"/>
      <c r="AA33" s="43">
        <f>SUM(F33:Z33)</f>
        <v>8539.0500000000011</v>
      </c>
      <c r="AB33" s="42">
        <v>0</v>
      </c>
      <c r="AC33" s="42"/>
      <c r="AD33" s="43">
        <f t="shared" si="5"/>
        <v>51234.3</v>
      </c>
    </row>
    <row r="34" spans="1:31" s="23" customFormat="1" ht="30.75" customHeight="1" x14ac:dyDescent="0.2">
      <c r="A34" s="38">
        <v>12</v>
      </c>
      <c r="B34" s="39" t="s">
        <v>47</v>
      </c>
      <c r="C34" s="50">
        <v>1</v>
      </c>
      <c r="D34" s="44">
        <v>4619</v>
      </c>
      <c r="E34" s="44"/>
      <c r="F34" s="42">
        <f t="shared" si="4"/>
        <v>4619</v>
      </c>
      <c r="G34" s="41"/>
      <c r="H34" s="41">
        <f>F34*0.5</f>
        <v>2309.5</v>
      </c>
      <c r="I34" s="41"/>
      <c r="J34" s="41"/>
      <c r="K34" s="41"/>
      <c r="L34" s="41"/>
      <c r="M34" s="41"/>
      <c r="N34" s="41"/>
      <c r="O34" s="41"/>
      <c r="P34" s="41"/>
      <c r="Q34" s="41"/>
      <c r="R34" s="44"/>
      <c r="S34" s="44"/>
      <c r="T34" s="41"/>
      <c r="U34" s="41"/>
      <c r="V34" s="41"/>
      <c r="W34" s="44"/>
      <c r="X34" s="41">
        <f>F34*0.1</f>
        <v>461.90000000000003</v>
      </c>
      <c r="Y34" s="44">
        <f>D34*0.2</f>
        <v>923.80000000000007</v>
      </c>
      <c r="Z34" s="42"/>
      <c r="AA34" s="43">
        <f>SUM(F34:Z34)-33.1</f>
        <v>8281.0999999999985</v>
      </c>
      <c r="AB34" s="42">
        <v>0</v>
      </c>
      <c r="AC34" s="42"/>
      <c r="AD34" s="43">
        <f t="shared" si="5"/>
        <v>49686.599999999991</v>
      </c>
    </row>
    <row r="35" spans="1:31" s="23" customFormat="1" ht="17.25" customHeight="1" x14ac:dyDescent="0.2">
      <c r="A35" s="38">
        <v>13</v>
      </c>
      <c r="B35" s="39" t="s">
        <v>48</v>
      </c>
      <c r="C35" s="38">
        <v>1</v>
      </c>
      <c r="D35" s="40">
        <f>7449*90%</f>
        <v>6704.1</v>
      </c>
      <c r="E35" s="42"/>
      <c r="F35" s="42">
        <f t="shared" si="4"/>
        <v>6704.1</v>
      </c>
      <c r="G35" s="42"/>
      <c r="H35" s="42">
        <f>F35*0.5</f>
        <v>3352.05</v>
      </c>
      <c r="I35" s="48"/>
      <c r="J35" s="48"/>
      <c r="K35" s="48"/>
      <c r="L35" s="48"/>
      <c r="M35" s="48"/>
      <c r="N35" s="48"/>
      <c r="O35" s="48"/>
      <c r="P35" s="48"/>
      <c r="Q35" s="42"/>
      <c r="R35" s="42"/>
      <c r="S35" s="42"/>
      <c r="T35" s="48"/>
      <c r="U35" s="49"/>
      <c r="V35" s="49"/>
      <c r="W35" s="42"/>
      <c r="X35" s="42"/>
      <c r="Y35" s="42"/>
      <c r="Z35" s="42"/>
      <c r="AA35" s="43">
        <f t="shared" ref="AA35:AA44" si="6">SUM(F35:Z35)</f>
        <v>10056.150000000001</v>
      </c>
      <c r="AB35" s="42">
        <v>0</v>
      </c>
      <c r="AC35" s="42"/>
      <c r="AD35" s="43">
        <f t="shared" si="5"/>
        <v>60336.900000000009</v>
      </c>
    </row>
    <row r="36" spans="1:31" s="23" customFormat="1" ht="15.75" x14ac:dyDescent="0.2">
      <c r="A36" s="38">
        <v>13</v>
      </c>
      <c r="B36" s="39" t="s">
        <v>49</v>
      </c>
      <c r="C36" s="38">
        <v>1</v>
      </c>
      <c r="D36" s="40">
        <v>3631</v>
      </c>
      <c r="E36" s="42"/>
      <c r="F36" s="42">
        <f t="shared" si="4"/>
        <v>3631</v>
      </c>
      <c r="G36" s="42"/>
      <c r="H36" s="42"/>
      <c r="I36" s="48"/>
      <c r="J36" s="48"/>
      <c r="K36" s="48"/>
      <c r="L36" s="48"/>
      <c r="M36" s="48"/>
      <c r="N36" s="48"/>
      <c r="O36" s="48"/>
      <c r="P36" s="48"/>
      <c r="Q36" s="42"/>
      <c r="R36" s="42"/>
      <c r="S36" s="42"/>
      <c r="T36" s="48"/>
      <c r="U36" s="49"/>
      <c r="V36" s="49"/>
      <c r="W36" s="42"/>
      <c r="X36" s="42"/>
      <c r="Y36" s="42"/>
      <c r="Z36" s="42">
        <f t="shared" ref="Z36:Z43" si="7">6000*C36-(F36+H36+I36+P36+Y36)</f>
        <v>2369</v>
      </c>
      <c r="AA36" s="43">
        <f t="shared" si="6"/>
        <v>6000</v>
      </c>
      <c r="AB36" s="42">
        <v>0</v>
      </c>
      <c r="AC36" s="42"/>
      <c r="AD36" s="43">
        <f t="shared" si="5"/>
        <v>36000</v>
      </c>
    </row>
    <row r="37" spans="1:31" s="23" customFormat="1" ht="49.5" customHeight="1" x14ac:dyDescent="0.2">
      <c r="A37" s="38">
        <v>14</v>
      </c>
      <c r="B37" s="51" t="s">
        <v>50</v>
      </c>
      <c r="C37" s="38">
        <v>1</v>
      </c>
      <c r="D37" s="40">
        <v>4379</v>
      </c>
      <c r="E37" s="52"/>
      <c r="F37" s="42">
        <f t="shared" si="4"/>
        <v>4379</v>
      </c>
      <c r="G37" s="42"/>
      <c r="H37" s="42"/>
      <c r="I37" s="52"/>
      <c r="J37" s="52"/>
      <c r="K37" s="52"/>
      <c r="L37" s="52"/>
      <c r="M37" s="52"/>
      <c r="N37" s="52"/>
      <c r="O37" s="52"/>
      <c r="P37" s="52"/>
      <c r="Q37" s="53"/>
      <c r="R37" s="53"/>
      <c r="S37" s="52"/>
      <c r="T37" s="52"/>
      <c r="U37" s="42"/>
      <c r="V37" s="42"/>
      <c r="W37" s="52"/>
      <c r="X37" s="52"/>
      <c r="Y37" s="42"/>
      <c r="Z37" s="42">
        <f t="shared" si="7"/>
        <v>1621</v>
      </c>
      <c r="AA37" s="43">
        <f t="shared" si="6"/>
        <v>6000</v>
      </c>
      <c r="AB37" s="42">
        <v>0</v>
      </c>
      <c r="AC37" s="42"/>
      <c r="AD37" s="43">
        <f t="shared" si="5"/>
        <v>36000</v>
      </c>
    </row>
    <row r="38" spans="1:31" s="23" customFormat="1" ht="15.75" x14ac:dyDescent="0.2">
      <c r="A38" s="38">
        <v>15</v>
      </c>
      <c r="B38" s="39" t="s">
        <v>51</v>
      </c>
      <c r="C38" s="38">
        <v>3</v>
      </c>
      <c r="D38" s="40">
        <v>2910</v>
      </c>
      <c r="E38" s="52"/>
      <c r="F38" s="42">
        <f t="shared" si="4"/>
        <v>8730</v>
      </c>
      <c r="G38" s="42"/>
      <c r="H38" s="4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4"/>
      <c r="V38" s="54"/>
      <c r="W38" s="52"/>
      <c r="X38" s="42">
        <f>((F38/167)*1.4)*23</f>
        <v>1683.2694610778442</v>
      </c>
      <c r="Y38" s="42"/>
      <c r="Z38" s="42">
        <f t="shared" si="7"/>
        <v>9270</v>
      </c>
      <c r="AA38" s="43">
        <f t="shared" si="6"/>
        <v>19683.269461077842</v>
      </c>
      <c r="AB38" s="42">
        <v>0</v>
      </c>
      <c r="AC38" s="42"/>
      <c r="AD38" s="43">
        <f t="shared" si="5"/>
        <v>118099.61676646705</v>
      </c>
    </row>
    <row r="39" spans="1:31" s="23" customFormat="1" ht="15.75" x14ac:dyDescent="0.2">
      <c r="A39" s="38">
        <v>16</v>
      </c>
      <c r="B39" s="39" t="s">
        <v>52</v>
      </c>
      <c r="C39" s="38">
        <v>2</v>
      </c>
      <c r="D39" s="40">
        <v>2670</v>
      </c>
      <c r="E39" s="52"/>
      <c r="F39" s="42">
        <f t="shared" si="4"/>
        <v>5340</v>
      </c>
      <c r="G39" s="42"/>
      <c r="H39" s="4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4"/>
      <c r="V39" s="54"/>
      <c r="W39" s="52"/>
      <c r="X39" s="42"/>
      <c r="Y39" s="40"/>
      <c r="Z39" s="42">
        <f t="shared" si="7"/>
        <v>6660</v>
      </c>
      <c r="AA39" s="43">
        <f t="shared" si="6"/>
        <v>12000</v>
      </c>
      <c r="AB39" s="42">
        <v>0</v>
      </c>
      <c r="AC39" s="42"/>
      <c r="AD39" s="43">
        <f t="shared" si="5"/>
        <v>72000</v>
      </c>
    </row>
    <row r="40" spans="1:31" s="23" customFormat="1" ht="15.75" customHeight="1" x14ac:dyDescent="0.2">
      <c r="A40" s="38">
        <v>18</v>
      </c>
      <c r="B40" s="39" t="s">
        <v>53</v>
      </c>
      <c r="C40" s="38">
        <v>1</v>
      </c>
      <c r="D40" s="40">
        <v>3151</v>
      </c>
      <c r="E40" s="52"/>
      <c r="F40" s="42">
        <f t="shared" si="4"/>
        <v>3151</v>
      </c>
      <c r="G40" s="42"/>
      <c r="H40" s="42">
        <f>F40*0.5</f>
        <v>1575.5</v>
      </c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49"/>
      <c r="V40" s="49"/>
      <c r="W40" s="52"/>
      <c r="X40" s="52"/>
      <c r="Y40" s="42"/>
      <c r="Z40" s="42">
        <f t="shared" si="7"/>
        <v>1273.5</v>
      </c>
      <c r="AA40" s="43">
        <f t="shared" si="6"/>
        <v>6000</v>
      </c>
      <c r="AB40" s="42">
        <v>0</v>
      </c>
      <c r="AC40" s="42"/>
      <c r="AD40" s="43">
        <f t="shared" si="5"/>
        <v>36000</v>
      </c>
    </row>
    <row r="41" spans="1:31" s="23" customFormat="1" ht="15.75" x14ac:dyDescent="0.2">
      <c r="A41" s="38">
        <v>17</v>
      </c>
      <c r="B41" s="39" t="s">
        <v>54</v>
      </c>
      <c r="C41" s="38">
        <v>1</v>
      </c>
      <c r="D41" s="40">
        <v>3631</v>
      </c>
      <c r="E41" s="52"/>
      <c r="F41" s="42">
        <f t="shared" si="4"/>
        <v>3631</v>
      </c>
      <c r="G41" s="42"/>
      <c r="H41" s="4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49"/>
      <c r="V41" s="49"/>
      <c r="W41" s="52"/>
      <c r="X41" s="52"/>
      <c r="Y41" s="42"/>
      <c r="Z41" s="42">
        <f t="shared" si="7"/>
        <v>2369</v>
      </c>
      <c r="AA41" s="43">
        <f t="shared" si="6"/>
        <v>6000</v>
      </c>
      <c r="AB41" s="42">
        <v>0</v>
      </c>
      <c r="AC41" s="42"/>
      <c r="AD41" s="43">
        <f t="shared" si="5"/>
        <v>36000</v>
      </c>
    </row>
    <row r="42" spans="1:31" s="23" customFormat="1" ht="31.5" x14ac:dyDescent="0.2">
      <c r="A42" s="38">
        <v>18</v>
      </c>
      <c r="B42" s="39" t="s">
        <v>55</v>
      </c>
      <c r="C42" s="38">
        <v>4</v>
      </c>
      <c r="D42" s="40">
        <v>2910</v>
      </c>
      <c r="E42" s="52"/>
      <c r="F42" s="42">
        <f t="shared" si="4"/>
        <v>11640</v>
      </c>
      <c r="G42" s="42"/>
      <c r="H42" s="4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4"/>
      <c r="V42" s="54"/>
      <c r="W42" s="52"/>
      <c r="X42" s="42">
        <f>F42*0.1</f>
        <v>1164</v>
      </c>
      <c r="Y42" s="40"/>
      <c r="Z42" s="42">
        <f t="shared" si="7"/>
        <v>12360</v>
      </c>
      <c r="AA42" s="43">
        <f t="shared" si="6"/>
        <v>25164</v>
      </c>
      <c r="AB42" s="42">
        <v>0</v>
      </c>
      <c r="AC42" s="42"/>
      <c r="AD42" s="43">
        <f t="shared" si="5"/>
        <v>150984</v>
      </c>
    </row>
    <row r="43" spans="1:31" s="23" customFormat="1" ht="15.75" x14ac:dyDescent="0.2">
      <c r="A43" s="38">
        <v>19</v>
      </c>
      <c r="B43" s="39" t="s">
        <v>56</v>
      </c>
      <c r="C43" s="38">
        <v>1</v>
      </c>
      <c r="D43" s="40">
        <v>3427</v>
      </c>
      <c r="E43" s="52"/>
      <c r="F43" s="42">
        <f t="shared" si="4"/>
        <v>3427</v>
      </c>
      <c r="G43" s="42"/>
      <c r="H43" s="4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4"/>
      <c r="V43" s="54"/>
      <c r="W43" s="52"/>
      <c r="X43" s="42"/>
      <c r="Y43" s="40"/>
      <c r="Z43" s="42">
        <f t="shared" si="7"/>
        <v>2573</v>
      </c>
      <c r="AA43" s="43">
        <f t="shared" si="6"/>
        <v>6000</v>
      </c>
      <c r="AB43" s="42">
        <v>0</v>
      </c>
      <c r="AC43" s="42"/>
      <c r="AD43" s="43">
        <f t="shared" si="5"/>
        <v>36000</v>
      </c>
    </row>
    <row r="44" spans="1:31" s="23" customFormat="1" ht="31.5" x14ac:dyDescent="0.2">
      <c r="A44" s="38">
        <v>20</v>
      </c>
      <c r="B44" s="39" t="s">
        <v>57</v>
      </c>
      <c r="C44" s="38">
        <v>1</v>
      </c>
      <c r="D44" s="40">
        <v>4619</v>
      </c>
      <c r="E44" s="52"/>
      <c r="F44" s="42">
        <f t="shared" si="4"/>
        <v>4619</v>
      </c>
      <c r="G44" s="42"/>
      <c r="H44" s="42">
        <f>F44*0.5</f>
        <v>2309.5</v>
      </c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4"/>
      <c r="V44" s="54"/>
      <c r="W44" s="52"/>
      <c r="X44" s="42"/>
      <c r="Y44" s="40"/>
      <c r="Z44" s="42"/>
      <c r="AA44" s="43">
        <f t="shared" si="6"/>
        <v>6928.5</v>
      </c>
      <c r="AB44" s="42">
        <v>0</v>
      </c>
      <c r="AC44" s="42"/>
      <c r="AD44" s="43">
        <f t="shared" si="5"/>
        <v>41571</v>
      </c>
    </row>
    <row r="45" spans="1:31" s="59" customFormat="1" ht="15.75" customHeight="1" x14ac:dyDescent="0.2">
      <c r="A45" s="55"/>
      <c r="B45" s="56" t="s">
        <v>58</v>
      </c>
      <c r="C45" s="57">
        <f t="shared" ref="C45:AD45" si="8">SUM(C32:C44)</f>
        <v>19</v>
      </c>
      <c r="D45" s="58">
        <f t="shared" si="8"/>
        <v>51409.1</v>
      </c>
      <c r="E45" s="58">
        <f t="shared" si="8"/>
        <v>0</v>
      </c>
      <c r="F45" s="58">
        <f t="shared" si="8"/>
        <v>68629.100000000006</v>
      </c>
      <c r="G45" s="58">
        <f t="shared" si="8"/>
        <v>0</v>
      </c>
      <c r="H45" s="58">
        <f t="shared" si="8"/>
        <v>10860.25</v>
      </c>
      <c r="I45" s="58">
        <f t="shared" si="8"/>
        <v>2189.5</v>
      </c>
      <c r="J45" s="58">
        <f t="shared" si="8"/>
        <v>0</v>
      </c>
      <c r="K45" s="58">
        <f t="shared" si="8"/>
        <v>0</v>
      </c>
      <c r="L45" s="58">
        <f t="shared" si="8"/>
        <v>0</v>
      </c>
      <c r="M45" s="58">
        <f t="shared" si="8"/>
        <v>0</v>
      </c>
      <c r="N45" s="58">
        <f t="shared" si="8"/>
        <v>0</v>
      </c>
      <c r="O45" s="58">
        <f t="shared" si="8"/>
        <v>0</v>
      </c>
      <c r="P45" s="58">
        <f t="shared" si="8"/>
        <v>656.85</v>
      </c>
      <c r="Q45" s="58">
        <f t="shared" si="8"/>
        <v>0</v>
      </c>
      <c r="R45" s="58">
        <f t="shared" si="8"/>
        <v>0</v>
      </c>
      <c r="S45" s="58">
        <f t="shared" si="8"/>
        <v>0</v>
      </c>
      <c r="T45" s="58">
        <f t="shared" si="8"/>
        <v>0</v>
      </c>
      <c r="U45" s="58">
        <f t="shared" si="8"/>
        <v>0</v>
      </c>
      <c r="V45" s="58">
        <f t="shared" si="8"/>
        <v>0</v>
      </c>
      <c r="W45" s="58">
        <f t="shared" si="8"/>
        <v>0</v>
      </c>
      <c r="X45" s="58">
        <f t="shared" si="8"/>
        <v>3309.1694610778441</v>
      </c>
      <c r="Y45" s="58">
        <f t="shared" si="8"/>
        <v>2237.5</v>
      </c>
      <c r="Z45" s="58">
        <f t="shared" si="8"/>
        <v>38802.800000000003</v>
      </c>
      <c r="AA45" s="58">
        <f t="shared" si="8"/>
        <v>126652.06946107784</v>
      </c>
      <c r="AB45" s="58">
        <f t="shared" si="8"/>
        <v>0</v>
      </c>
      <c r="AC45" s="58">
        <f t="shared" si="8"/>
        <v>0</v>
      </c>
      <c r="AD45" s="58">
        <f t="shared" si="8"/>
        <v>759912.41676646704</v>
      </c>
    </row>
    <row r="46" spans="1:31" ht="15.75" x14ac:dyDescent="0.25">
      <c r="A46" s="60"/>
      <c r="B46" s="61" t="s">
        <v>59</v>
      </c>
      <c r="C46" s="62">
        <f t="shared" ref="C46:AD46" si="9">C31+C45</f>
        <v>52.22</v>
      </c>
      <c r="D46" s="63">
        <f t="shared" si="9"/>
        <v>123313.48651460718</v>
      </c>
      <c r="E46" s="63">
        <f t="shared" si="9"/>
        <v>10386.038651460716</v>
      </c>
      <c r="F46" s="63">
        <f t="shared" si="9"/>
        <v>316570.10499999998</v>
      </c>
      <c r="G46" s="63">
        <f t="shared" si="9"/>
        <v>62251.509222222223</v>
      </c>
      <c r="H46" s="63">
        <f t="shared" si="9"/>
        <v>18210.190000000002</v>
      </c>
      <c r="I46" s="63">
        <f t="shared" si="9"/>
        <v>2189.5</v>
      </c>
      <c r="J46" s="63">
        <f t="shared" si="9"/>
        <v>0</v>
      </c>
      <c r="K46" s="63">
        <f t="shared" si="9"/>
        <v>0</v>
      </c>
      <c r="L46" s="63">
        <f t="shared" si="9"/>
        <v>0</v>
      </c>
      <c r="M46" s="63">
        <f t="shared" si="9"/>
        <v>0</v>
      </c>
      <c r="N46" s="63">
        <f t="shared" si="9"/>
        <v>0</v>
      </c>
      <c r="O46" s="63">
        <f t="shared" si="9"/>
        <v>0</v>
      </c>
      <c r="P46" s="63">
        <f t="shared" si="9"/>
        <v>656.85</v>
      </c>
      <c r="Q46" s="63">
        <f t="shared" si="9"/>
        <v>15440.64</v>
      </c>
      <c r="R46" s="63">
        <f t="shared" si="9"/>
        <v>11274.933888888891</v>
      </c>
      <c r="S46" s="63">
        <f t="shared" si="9"/>
        <v>21913.045000000002</v>
      </c>
      <c r="T46" s="63">
        <f t="shared" si="9"/>
        <v>6166.2199999999993</v>
      </c>
      <c r="U46" s="63">
        <f t="shared" si="9"/>
        <v>0</v>
      </c>
      <c r="V46" s="63">
        <f t="shared" si="9"/>
        <v>0</v>
      </c>
      <c r="W46" s="63">
        <f t="shared" si="9"/>
        <v>532.61</v>
      </c>
      <c r="X46" s="63">
        <f t="shared" si="9"/>
        <v>3309.1694610778441</v>
      </c>
      <c r="Y46" s="63">
        <f t="shared" si="9"/>
        <v>58575.572222222225</v>
      </c>
      <c r="Z46" s="63">
        <f t="shared" si="9"/>
        <v>38802.800000000003</v>
      </c>
      <c r="AA46" s="63">
        <f t="shared" si="9"/>
        <v>568687.3347944112</v>
      </c>
      <c r="AB46" s="63">
        <f t="shared" si="9"/>
        <v>0</v>
      </c>
      <c r="AC46" s="63">
        <f t="shared" si="9"/>
        <v>0</v>
      </c>
      <c r="AD46" s="63">
        <f t="shared" si="9"/>
        <v>3412124.0087664668</v>
      </c>
      <c r="AE46" s="64">
        <f>AA46*6</f>
        <v>3412124.0087664672</v>
      </c>
    </row>
    <row r="47" spans="1:31" s="18" customFormat="1" ht="12.75" x14ac:dyDescent="0.2">
      <c r="AD47" s="65"/>
    </row>
    <row r="48" spans="1:31" s="18" customFormat="1" ht="12.75" hidden="1" x14ac:dyDescent="0.2">
      <c r="AD48" s="65"/>
    </row>
    <row r="49" spans="2:33" s="18" customFormat="1" ht="12.75" hidden="1" x14ac:dyDescent="0.2">
      <c r="AD49" s="65"/>
    </row>
    <row r="50" spans="2:33" s="18" customFormat="1" ht="15.75" x14ac:dyDescent="0.25">
      <c r="B50" s="28" t="s">
        <v>60</v>
      </c>
      <c r="C50" s="66"/>
      <c r="D50" s="66"/>
      <c r="E50" s="66"/>
      <c r="F50" s="28"/>
      <c r="T50" s="67" t="s">
        <v>61</v>
      </c>
      <c r="U50" s="67"/>
      <c r="V50" s="67"/>
      <c r="W50" s="68"/>
      <c r="X50" s="68"/>
      <c r="Y50" s="69"/>
      <c r="Z50" s="69"/>
      <c r="AA50" s="70"/>
      <c r="AB50" s="71"/>
      <c r="AC50" s="71"/>
      <c r="AD50" s="71"/>
      <c r="AE50" s="72"/>
      <c r="AF50" s="72"/>
      <c r="AG50" s="28"/>
    </row>
    <row r="51" spans="2:33" s="18" customFormat="1" ht="15.75" x14ac:dyDescent="0.25">
      <c r="B51" s="28"/>
      <c r="C51" s="36"/>
      <c r="D51" s="73"/>
      <c r="E51" s="73"/>
      <c r="F51" s="73"/>
      <c r="G51" s="73"/>
      <c r="H51" s="28"/>
    </row>
    <row r="52" spans="2:33" s="18" customFormat="1" ht="12.75" x14ac:dyDescent="0.2"/>
    <row r="53" spans="2:33" s="18" customFormat="1" ht="12.75" x14ac:dyDescent="0.2"/>
  </sheetData>
  <mergeCells count="47">
    <mergeCell ref="B21:B22"/>
    <mergeCell ref="C21:C22"/>
    <mergeCell ref="D21:D22"/>
    <mergeCell ref="E21:E22"/>
    <mergeCell ref="F21:F22"/>
    <mergeCell ref="R14:R19"/>
    <mergeCell ref="S14:S19"/>
    <mergeCell ref="T14:T19"/>
    <mergeCell ref="U14:U19"/>
    <mergeCell ref="G21:G22"/>
    <mergeCell ref="H21:H22"/>
    <mergeCell ref="M14:M19"/>
    <mergeCell ref="N14:N19"/>
    <mergeCell ref="O14:O19"/>
    <mergeCell ref="P14:P19"/>
    <mergeCell ref="Q14:Q19"/>
    <mergeCell ref="AA21:AA22"/>
    <mergeCell ref="AB21:AB22"/>
    <mergeCell ref="AC21:AC22"/>
    <mergeCell ref="AD21:AD22"/>
    <mergeCell ref="W14:W19"/>
    <mergeCell ref="X14:X19"/>
    <mergeCell ref="H9:T9"/>
    <mergeCell ref="A11:A19"/>
    <mergeCell ref="B11:B19"/>
    <mergeCell ref="C11:C19"/>
    <mergeCell ref="D11:D19"/>
    <mergeCell ref="E11:E19"/>
    <mergeCell ref="F11:F19"/>
    <mergeCell ref="G11:I13"/>
    <mergeCell ref="J11:O13"/>
    <mergeCell ref="P11:X13"/>
    <mergeCell ref="G14:G19"/>
    <mergeCell ref="H14:H19"/>
    <mergeCell ref="I14:I19"/>
    <mergeCell ref="J14:J19"/>
    <mergeCell ref="K14:K19"/>
    <mergeCell ref="L14:L19"/>
    <mergeCell ref="AC11:AC19"/>
    <mergeCell ref="Z3:AD3"/>
    <mergeCell ref="Z4:AD4"/>
    <mergeCell ref="V14:V19"/>
    <mergeCell ref="AD11:AD19"/>
    <mergeCell ref="Y11:Y19"/>
    <mergeCell ref="Z11:Z19"/>
    <mergeCell ref="AA11:AA19"/>
    <mergeCell ref="AB11:AB19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58" orientation="landscape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01.01.21</vt:lpstr>
      <vt:lpstr>'на 01.01.21'!Область_печати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Boss</cp:lastModifiedBy>
  <cp:lastPrinted>2020-11-25T12:02:26Z</cp:lastPrinted>
  <dcterms:created xsi:type="dcterms:W3CDTF">2020-10-30T09:26:56Z</dcterms:created>
  <dcterms:modified xsi:type="dcterms:W3CDTF">2020-11-26T09:47:27Z</dcterms:modified>
</cp:coreProperties>
</file>